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
  xmlns="http://schemas.openxmlformats.org/package/2006/relationships"
  >
  <Relationship
    Id="rId3"
    Type="http://schemas.openxmlformats.org/officeDocument/2006/relationships/extended-properties"
    Target="docProps/app.xml"
    />
  <Relationship
    Id="rId2"
    Type="http://schemas.openxmlformats.org/package/2006/relationships/metadata/core-properties"
    Target="docProps/core.xml"
    />
  <Relationship
    Id="rId1"
    Type="http://schemas.openxmlformats.org/officeDocument/2006/relationships/officeDocument"
    Target="xl/workbook.xml"
   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/>
  <workbookPr defaultThemeVersion="202300"/>
  <sheets>
    <sheet name="Recipe" sheetId="1" r:id="rId1"/>
    <sheet name="Calculation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<sst xmlns="http://schemas.openxmlformats.org/spreadsheetml/2006/main" count="156" uniqueCount="111">
  <si>
    <t>SESSION DARK LAGER (SCHWARZBIER) · BREWZILLA 35L</t>
  </si>
  <si>
    <t>Kópavogur Session Schwarzbier</t>
  </si>
  <si>
    <t>A smooth, toasty black lager at 3.5% that drinks like a full-strength one. Munich and a little CaraMunich give it bread-crust depth, dehusked Carafa gives colour and a hint of cocoa without roast bite, and W-34/70 fermented under pressure in the Fermzilla keeps it clean at room temperature.</t>
  </si>
  <si>
    <t>ABV</t>
  </si>
  <si>
    <t>OG</t>
  </si>
  <si>
    <t>FG</t>
  </si>
  <si>
    <t>IBU</t>
  </si>
  <si>
    <t>BATCH</t>
  </si>
  <si>
    <t>MASH PH</t>
  </si>
  <si>
    <t>20–25</t>
  </si>
  <si>
    <t>Top: the recipe's targets. Below: calculated from the amounts on this sheet, which you can change.</t>
  </si>
  <si>
    <t>INGREDIENTS</t>
  </si>
  <si>
    <t>GRAIN</t>
  </si>
  <si>
    <t>kg</t>
  </si>
  <si>
    <t>Pilsner malt</t>
  </si>
  <si>
    <t>Weyermann or similar</t>
  </si>
  <si>
    <t>Munich malt</t>
  </si>
  <si>
    <t>light Munich, ~15–20 EBC</t>
  </si>
  <si>
    <t>CaraMunich II</t>
  </si>
  <si>
    <t>~120 EBC</t>
  </si>
  <si>
    <t>Carapils / dextrin malt</t>
  </si>
  <si>
    <t>body for a low-ABV beer</t>
  </si>
  <si>
    <t>Carafa Special III</t>
  </si>
  <si>
    <t>dehusked, ~1400 EBC; Carafa Special II also works</t>
  </si>
  <si>
    <t>HOPS</t>
  </si>
  <si>
    <t>g</t>
  </si>
  <si>
    <t>Hallertauer Mittelfrüh</t>
  </si>
  <si>
    <t>~4% AA · 60 min; or 10 g Magnum</t>
  </si>
  <si>
    <t>~4% AA · 15 min</t>
  </si>
  <si>
    <t>YEAST &amp; EXTRAS</t>
  </si>
  <si>
    <t>packet</t>
  </si>
  <si>
    <t>Fermentis SafLager W-34/70</t>
  </si>
  <si>
    <t>two packets for a clean pressure ferment</t>
  </si>
  <si>
    <t>tablet</t>
  </si>
  <si>
    <t>Whirlfloc</t>
  </si>
  <si>
    <t>ml</t>
  </si>
  <si>
    <t>Lactic acid 88%</t>
  </si>
  <si>
    <t>into the mash</t>
  </si>
  <si>
    <t>WATER</t>
  </si>
  <si>
    <t>L</t>
  </si>
  <si>
    <t>Mash water</t>
  </si>
  <si>
    <t xml:space="preserve">   + gypsum</t>
  </si>
  <si>
    <t xml:space="preserve">   + calcium chloride</t>
  </si>
  <si>
    <t>Sparge water at 76°C</t>
  </si>
  <si>
    <t>Pre-boil volume 26 L · Into the fermenter 20.5 L</t>
  </si>
  <si>
    <t>ION, MG/L</t>
  </si>
  <si>
    <t>KÓPAVOGUR TAP</t>
  </si>
  <si>
    <t>AFTER SALTS</t>
  </si>
  <si>
    <t>TARGET</t>
  </si>
  <si>
    <t>Calcium</t>
  </si>
  <si>
    <t>Sulfate</t>
  </si>
  <si>
    <t>Chloride</t>
  </si>
  <si>
    <t>Magnesium</t>
  </si>
  <si>
    <t>—</t>
  </si>
  <si>
    <t>Sodium</t>
  </si>
  <si>
    <t>Bicarbonate</t>
  </si>
  <si>
    <t xml:space="preserve">Predicted mash pH is about 5.5 without acid and 5.4 with the lactic acid; the dark malts do some of the acidifying, so check at 10 minutes and skip the acid if you're already at 5.3–5.4. Calcium chloride is dihydrate flakes; use about 25% less if yours is anhydrous.
The profile leans soft and chloride-forward for a rounder, maltier finish. Capital-area water isn't chlorinated, so no Campden tablet is needed.
Volumes assume about 70% brewhouse efficiency, 1 L/kg grain absorption, roughly 3 L/h boil-off on the 1900 W element and 2–3 L left in the kettle.</t>
  </si>
  <si>
    <t>Full recipe and method: bruko.net/r/kopavogur-session-schwarzbier</t>
  </si>
  <si>
    <t>The Calculation sheet holds the working: gravity and bitterness, then mash pH, each with its tables.</t>
  </si>
  <si>
    <t>Calculated with GRID's spreadsheet engine · grid.is</t>
  </si>
  <si>
    <t>Gravity and bitterness</t>
  </si>
  <si>
    <t/>
  </si>
  <si>
    <t>OG from the fermentables below, FG from attenuation, IBU (Tinseth) from the hops below.</t>
  </si>
  <si>
    <t>Into the fermenter (L)</t>
  </si>
  <si>
    <t>Post-boil volume (L)</t>
  </si>
  <si>
    <t>Brewhouse efficiency</t>
  </si>
  <si>
    <t>Apparent attenuation</t>
  </si>
  <si>
    <t>OG points</t>
  </si>
  <si>
    <t>FG points</t>
  </si>
  <si>
    <t>ABV %</t>
  </si>
  <si>
    <t>Fermentable</t>
  </si>
  <si>
    <t>Potential (pts/kg/L)</t>
  </si>
  <si>
    <t>Hop</t>
  </si>
  <si>
    <t>AA %</t>
  </si>
  <si>
    <t>Minutes</t>
  </si>
  <si>
    <t>Temperature factor</t>
  </si>
  <si>
    <t>Utilisation</t>
  </si>
  <si>
    <t>Hallertauer Mittelfrüh (hallertau_60)</t>
  </si>
  <si>
    <t>Hallertauer Mittelfrüh (hallertau_15)</t>
  </si>
  <si>
    <t>Mash pH</t>
  </si>
  <si>
    <t>Goal seek sets the mash pH so the proton balance at the bottom is 0.</t>
  </si>
  <si>
    <t>Predicted mash pH</t>
  </si>
  <si>
    <t>Mash water (L)</t>
  </si>
  <si>
    <t>Source Ca (mg/L)</t>
  </si>
  <si>
    <t>Source Mg (mg/L)</t>
  </si>
  <si>
    <t>Source HCO₃ (mg/L)</t>
  </si>
  <si>
    <t>Lactic acid (ml)</t>
  </si>
  <si>
    <t>Lactic acid (mmol/ml)</t>
  </si>
  <si>
    <t>Acid malt (kg)</t>
  </si>
  <si>
    <t>Acid malt (mEq/kg)</t>
  </si>
  <si>
    <t>Ca in the mash (mg)</t>
  </si>
  <si>
    <t>Mg in the mash (mg)</t>
  </si>
  <si>
    <t>HCO₃ in the mash (mg)</t>
  </si>
  <si>
    <t>Grist buffer (mEq/pH)</t>
  </si>
  <si>
    <t>Grist distilled-water pH</t>
  </si>
  <si>
    <t>Ca/Mg acidity (mEq)</t>
  </si>
  <si>
    <t>Lactic acid (mEq)</t>
  </si>
  <si>
    <t>Acid malt (mEq)</t>
  </si>
  <si>
    <t>Alkalinity (mEq)</t>
  </si>
  <si>
    <t>Proton balance (mEq)</t>
  </si>
  <si>
    <t>Malt</t>
  </si>
  <si>
    <t>Distilled-water pH</t>
  </si>
  <si>
    <t>Buffer (mEq/kg·pH)</t>
  </si>
  <si>
    <t>Buffer × kg</t>
  </si>
  <si>
    <t>pH × buffer × kg</t>
  </si>
  <si>
    <t>Salt</t>
  </si>
  <si>
    <t>Ca (mg/g)</t>
  </si>
  <si>
    <t>Mg (mg/g)</t>
  </si>
  <si>
    <t>HCO₃ (mg/g)</t>
  </si>
  <si>
    <t>gypsum (mash_gypsum)</t>
  </si>
  <si>
    <t>calcium chloride (mash_cacl2)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</si>
</sst>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0#"/>
    <numFmt numFmtId="166" formatCode="General&quot;%&quot;"/>
    <numFmt numFmtId="167" formatCode="0.0&quot;%&quot;"/>
    <numFmt numFmtId="168" formatCode="General&quot; L&quot;"/>
    <numFmt numFmtId="169" formatCode="0.0&quot; L&quot;"/>
    <numFmt numFmtId="170" formatCode="0.0"/>
  </numFmts>
  <fonts count="16" x14ac:knownFonts="1">
    <font>
      <sz val="12"/>
      <color theme="1"/>
      <name val="Aptos Narrow"/>
      <scheme val="minor"/>
    </font>
    <font>
      <sz val="14"/>
      <color rgb="FF1D2620"/>
      <name val="Aptos Narrow"/>
      <b/>
      <scheme val="minor"/>
    </font>
    <font>
      <sz val="9"/>
      <color rgb="FF5F6D63"/>
      <name val="Aptos Narrow"/>
      <i/>
      <scheme val="minor"/>
    </font>
    <font>
      <sz val="12"/>
      <color rgb="FF5F6D63"/>
      <name val="Aptos Narrow"/>
      <scheme val="minor"/>
    </font>
    <font>
      <sz val="12"/>
      <color rgb="FF1D2620"/>
      <name val="Aptos Narrow"/>
      <scheme val="minor"/>
    </font>
    <font>
      <sz val="9"/>
      <color rgb="FF5F6D63"/>
      <name val="Aptos Narrow"/>
      <b/>
      <scheme val="minor"/>
    </font>
    <font>
      <sz val="9"/>
      <color rgb="FF2F5D3F"/>
      <name val="Aptos Narrow"/>
      <b/>
      <scheme val="minor"/>
    </font>
    <font>
      <sz val="26"/>
      <color rgb="FF1D2620"/>
      <name val="Aptos Narrow"/>
      <b/>
      <scheme val="minor"/>
    </font>
    <font>
      <sz val="8"/>
      <color rgb="FF5F6D63"/>
      <name val="Aptos Narrow"/>
      <b/>
      <scheme val="minor"/>
    </font>
    <font>
      <sz val="15"/>
      <color rgb="FF1D2620"/>
      <name val="Aptos Narrow"/>
      <b/>
      <scheme val="minor"/>
    </font>
    <font>
      <sz val="12"/>
      <color rgb="FF2F5D3F"/>
      <name val="Aptos Narrow"/>
      <b/>
      <scheme val="minor"/>
    </font>
    <font>
      <sz val="12"/>
      <color rgb="FF2F5D3F"/>
      <name val="Aptos Narrow"/>
      <scheme val="minor"/>
    </font>
    <font>
      <sz val="9"/>
      <color rgb="FF5F6D63"/>
      <name val="Aptos Narrow"/>
      <scheme val="minor"/>
    </font>
    <font>
      <sz val="12"/>
      <color rgb="FFB7791F"/>
      <name val="Aptos Narrow"/>
      <b/>
      <scheme val="minor"/>
    </font>
    <font>
      <sz val="9"/>
      <color rgb="FF1D2620"/>
      <name val="Aptos Narrow"/>
      <scheme val="minor"/>
    </font>
    <font>
      <sz val="12"/>
      <color rgb="FF2F5D3F"/>
      <name val="Aptos Narrow"/>
      <u/>
      <scheme val="minor"/>
    </font>
  </fonts>
  <fills count="4">
    <fill>
      <patternFill patternType="none"/>
    </fill>
    <fill>
      <patternFill patternType="gray125"/>
    </fill>
    <fill>
      <patternFill patternType="solid">
        <fgColor rgb="FFE3ECE4"/>
        <bgColor rgb="FFE3ECE4"/>
      </patternFill>
    </fill>
    <fill>
      <patternFill patternType="solid">
        <fgColor rgb="FFF6ECD9"/>
        <bgColor rgb="FFF6ECD9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2F5D3F"/>
      </bottom>
      <diagonal/>
    </border>
    <border>
      <left/>
      <right/>
      <top/>
      <bottom style="thin">
        <color rgb="FFD9E0D8"/>
      </bottom>
      <diagonal/>
    </border>
    <border>
      <left/>
      <right/>
      <top style="thin">
        <color rgb="FFD9E0D8"/>
      </top>
      <bottom/>
      <diagonal/>
    </border>
    <border>
      <left/>
      <right/>
      <top/>
      <bottom style="hair">
        <color rgb="FFD9E0D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5" fillId="2" borderId="2" xfId="0" applyFont="1" applyFill="1" applyBorder="1"/>
    <xf numFmtId="2" fontId="4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8" fillId="2" borderId="3" xfId="0" applyFont="1" applyFill="1" applyBorder="1" applyAlignment="1">
      <alignment horizontal="center"/>
    </xf>
    <xf numFmtId="166" fontId="9" fillId="2" borderId="0" xfId="0" applyNumberFormat="1" applyFont="1" applyFill="1" applyAlignment="1">
      <alignment horizontal="center"/>
    </xf>
    <xf numFmtId="167" fontId="2" fillId="2" borderId="2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68" fontId="9" fillId="2" borderId="0" xfId="0" applyNumberFormat="1" applyFont="1" applyFill="1" applyAlignment="1">
      <alignment horizontal="center"/>
    </xf>
    <xf numFmtId="169" fontId="2" fillId="2" borderId="2" xfId="0" applyNumberFormat="1" applyFont="1" applyFill="1" applyBorder="1" applyAlignment="1">
      <alignment horizontal="center"/>
    </xf>
    <xf numFmtId="2" fontId="9" fillId="2" borderId="0" xfId="0" applyNumberFormat="1" applyFont="1" applyFill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9" fillId="0" borderId="1" xfId="0" applyFont="1" applyBorder="1"/>
    <xf numFmtId="0" fontId="5" fillId="0" borderId="0" xfId="0" applyFont="1"/>
    <xf numFmtId="0" fontId="10" fillId="0" borderId="4" xfId="0" applyFont="1" applyBorder="1" applyAlignment="1">
      <alignment horizontal="right"/>
    </xf>
    <xf numFmtId="0" fontId="11" fillId="0" borderId="4" xfId="0" applyFont="1" applyBorder="1"/>
    <xf numFmtId="0" fontId="4" fillId="0" borderId="4" xfId="0" applyFont="1" applyBorder="1"/>
    <xf numFmtId="0" fontId="12" fillId="0" borderId="4" xfId="0" applyFont="1" applyBorder="1"/>
    <xf numFmtId="0" fontId="8" fillId="0" borderId="2" xfId="0" applyFont="1" applyBorder="1"/>
    <xf numFmtId="0" fontId="8" fillId="0" borderId="2" xfId="0" applyFont="1" applyBorder="1" applyAlignment="1">
      <alignment horizontal="right"/>
    </xf>
    <xf numFmtId="170" fontId="4" fillId="0" borderId="4" xfId="0" applyNumberFormat="1" applyFont="1" applyBorder="1" applyAlignment="1">
      <alignment horizontal="right"/>
    </xf>
    <xf numFmtId="1" fontId="13" fillId="0" borderId="4" xfId="0" applyNumberFormat="1" applyFont="1" applyBorder="1" applyAlignment="1">
      <alignment horizontal="right"/>
    </xf>
    <xf numFmtId="1" fontId="4" fillId="0" borderId="4" xfId="0" applyNumberFormat="1" applyFont="1" applyBorder="1" applyAlignment="1">
      <alignment horizontal="right"/>
    </xf>
    <xf numFmtId="170" fontId="13" fillId="0" borderId="4" xfId="0" applyNumberFormat="1" applyFont="1" applyBorder="1" applyAlignment="1">
      <alignment horizontal="right"/>
    </xf>
    <xf numFmtId="0" fontId="14" fillId="3" borderId="0" xfId="0" applyFont="1" applyFill="1" applyAlignment="1">
      <alignment vertical="top" wrapText="1"/>
    </xf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xmlns="http://schemas.openxmlformats.org/package/2006/relationships"
  >
  <Relationship
    Id="rId1"
    Type="http://schemas.openxmlformats.org/officeDocument/2006/relationships/worksheet"
    Target="worksheets/sheet1.xml"
    />
  <Relationship
    Id="rId2"
    Type="http://schemas.openxmlformats.org/officeDocument/2006/relationships/worksheet"
    Target="worksheets/sheet2.xml"
    />
  <Relationship
    Id="rId3"
    Type="http://schemas.openxmlformats.org/officeDocument/2006/relationships/styles"
    Target="styles.xml"
    />
  <Relationship
    Id="rId4"
    Type="http://schemas.openxmlformats.org/officeDocument/2006/relationships/theme"
    Target="theme/theme1.xml"
    />
  <Relationship
    Id="rId5"
    Type="http://schemas.openxmlformats.org/officeDocument/2006/relationships/sharedStrings"
    Target="sharedStrings.xml"
    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48"/>
  <sheetViews>
    <sheetView workbookViewId="0"/>
  </sheetViews>
  <sheetFormatPr baseColWidth="10" defaultRowHeight="16"/>
  <cols>
    <col min="1" max="1" width="12" customWidth="1"/>
    <col min="2" max="2" width="7.6640625" customWidth="1"/>
    <col min="3" max="3" width="25" customWidth="1"/>
    <col min="4" max="6" width="14.6640625" customWidth="1"/>
  </cols>
  <sheetData>
    <row r="1" spans="1:6">
      <c r="A1" s="9" t="s">
        <v>0</v>
      </c>
    </row>
    <row r="2" spans="1:6" customHeight="1" ht="44">
      <c r="A2" s="10" t="s">
        <v>1</v>
      </c>
    </row>
    <row r="3" spans="1:6" customHeight="1" ht="48">
      <c r="A3" s="11" t="s">
        <v>2</v>
      </c>
    </row>
    <row r="5" spans="1:6">
      <c r="A5" s="12" t="s">
        <v>3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</row>
    <row r="6" spans="1:6" customHeight="1" ht="28">
      <c r="A6" s="13">
        <v>3.5</v>
      </c>
      <c r="B6" s="15">
        <v>1.036</v>
      </c>
      <c r="C6" s="15">
        <v>1.009</v>
      </c>
      <c r="D6" s="17" t="s">
        <v>9</v>
      </c>
      <c r="E6" s="19">
        <v>20</v>
      </c>
      <c r="F6" s="21">
        <v>5.4</v>
      </c>
    </row>
    <row r="7" spans="1:6">
      <c r="A7" s="14">
        <f>Calculation!B11</f>
        <v>3.50220609375</v>
      </c>
      <c r="B7" s="16">
        <f>Calculation!B8</f>
        <v>1.03605875</v>
      </c>
      <c r="C7" s="16">
        <f>Calculation!B10</f>
        <v>1.009375275</v>
      </c>
      <c r="D7" s="18">
        <f>Calculation!B12</f>
        <v>22.700527406023</v>
      </c>
      <c r="E7" s="20">
        <f>Calculation!B3</f>
        <v>20</v>
      </c>
      <c r="F7" s="22">
        <f>Calculation!B27+Calculation!B45/Calculation!B39</f>
        <v>5.40209500262253</v>
      </c>
    </row>
    <row r="8" spans="1:6">
      <c r="A8" s="2" t="s">
        <v>10</v>
      </c>
    </row>
    <row r="10" spans="1:6" customHeight="1" ht="24">
      <c r="A10" s="23" t="s">
        <v>11</v>
      </c>
      <c r="B10" s="23"/>
      <c r="C10" s="23"/>
      <c r="D10" s="23"/>
      <c r="E10" s="23"/>
      <c r="F10" s="23"/>
    </row>
    <row r="11" spans="1:6">
      <c r="A11" s="24" t="s">
        <v>12</v>
      </c>
    </row>
    <row r="12" spans="1:6">
      <c r="A12" s="25">
        <v>1.9</v>
      </c>
      <c r="B12" s="26" t="s">
        <v>13</v>
      </c>
      <c r="C12" s="27" t="s">
        <v>14</v>
      </c>
      <c r="D12" s="28" t="s">
        <v>15</v>
      </c>
      <c r="E12" s="28"/>
      <c r="F12" s="28"/>
    </row>
    <row r="13" spans="1:6">
      <c r="A13" s="25">
        <v>1</v>
      </c>
      <c r="B13" s="26" t="s">
        <v>13</v>
      </c>
      <c r="C13" s="27" t="s">
        <v>16</v>
      </c>
      <c r="D13" s="28" t="s">
        <v>17</v>
      </c>
      <c r="E13" s="28"/>
      <c r="F13" s="28"/>
    </row>
    <row r="14" spans="1:6">
      <c r="A14" s="25">
        <v>0.2</v>
      </c>
      <c r="B14" s="26" t="s">
        <v>13</v>
      </c>
      <c r="C14" s="27" t="s">
        <v>18</v>
      </c>
      <c r="D14" s="28" t="s">
        <v>19</v>
      </c>
      <c r="E14" s="28"/>
      <c r="F14" s="28"/>
    </row>
    <row r="15" spans="1:6">
      <c r="A15" s="25">
        <v>0.2</v>
      </c>
      <c r="B15" s="26" t="s">
        <v>13</v>
      </c>
      <c r="C15" s="27" t="s">
        <v>20</v>
      </c>
      <c r="D15" s="28" t="s">
        <v>21</v>
      </c>
      <c r="E15" s="28"/>
      <c r="F15" s="28"/>
    </row>
    <row r="16" spans="1:6">
      <c r="A16" s="25">
        <v>0.15</v>
      </c>
      <c r="B16" s="26" t="s">
        <v>13</v>
      </c>
      <c r="C16" s="27" t="s">
        <v>22</v>
      </c>
      <c r="D16" s="28" t="s">
        <v>23</v>
      </c>
      <c r="E16" s="28"/>
      <c r="F16" s="28"/>
    </row>
    <row r="18" spans="1:6">
      <c r="A18" s="24" t="s">
        <v>24</v>
      </c>
    </row>
    <row r="19" spans="1:6">
      <c r="A19" s="25">
        <v>40</v>
      </c>
      <c r="B19" s="26" t="s">
        <v>25</v>
      </c>
      <c r="C19" s="27" t="s">
        <v>26</v>
      </c>
      <c r="D19" s="28" t="s">
        <v>27</v>
      </c>
      <c r="E19" s="28"/>
      <c r="F19" s="28"/>
    </row>
    <row r="20" spans="1:6">
      <c r="A20" s="25">
        <v>20</v>
      </c>
      <c r="B20" s="26" t="s">
        <v>25</v>
      </c>
      <c r="C20" s="27" t="s">
        <v>26</v>
      </c>
      <c r="D20" s="28" t="s">
        <v>28</v>
      </c>
      <c r="E20" s="28"/>
      <c r="F20" s="28"/>
    </row>
    <row r="22" spans="1:6">
      <c r="A22" s="24" t="s">
        <v>29</v>
      </c>
    </row>
    <row r="23" spans="1:6">
      <c r="A23" s="25">
        <v>2</v>
      </c>
      <c r="B23" s="26" t="s">
        <v>30</v>
      </c>
      <c r="C23" s="27" t="s">
        <v>31</v>
      </c>
      <c r="D23" s="28" t="s">
        <v>32</v>
      </c>
      <c r="E23" s="28"/>
      <c r="F23" s="28"/>
    </row>
    <row r="24" spans="1:6">
      <c r="A24" s="25">
        <v>1</v>
      </c>
      <c r="B24" s="26" t="s">
        <v>33</v>
      </c>
      <c r="C24" s="27" t="s">
        <v>34</v>
      </c>
      <c r="D24" s="28"/>
      <c r="E24" s="28"/>
      <c r="F24" s="28"/>
    </row>
    <row r="25" spans="1:6">
      <c r="A25" s="25">
        <v>1.7</v>
      </c>
      <c r="B25" s="26" t="s">
        <v>35</v>
      </c>
      <c r="C25" s="27" t="s">
        <v>36</v>
      </c>
      <c r="D25" s="28" t="s">
        <v>37</v>
      </c>
      <c r="E25" s="28"/>
      <c r="F25" s="28"/>
    </row>
    <row r="27" spans="1:6" customHeight="1" ht="24">
      <c r="A27" s="23" t="s">
        <v>38</v>
      </c>
      <c r="B27" s="23"/>
      <c r="C27" s="23"/>
      <c r="D27" s="23"/>
      <c r="E27" s="23"/>
      <c r="F27" s="23"/>
    </row>
    <row r="28" spans="1:6">
      <c r="A28" s="25">
        <v>18</v>
      </c>
      <c r="B28" s="26" t="s">
        <v>39</v>
      </c>
      <c r="C28" s="27" t="s">
        <v>40</v>
      </c>
      <c r="D28" s="28"/>
      <c r="E28" s="28"/>
      <c r="F28" s="28"/>
    </row>
    <row r="29" spans="1:6">
      <c r="A29" s="25">
        <v>1.2</v>
      </c>
      <c r="B29" s="26" t="s">
        <v>25</v>
      </c>
      <c r="C29" s="27" t="s">
        <v>41</v>
      </c>
      <c r="D29" s="28"/>
      <c r="E29" s="28"/>
      <c r="F29" s="28"/>
    </row>
    <row r="30" spans="1:6">
      <c r="A30" s="25">
        <v>2.5</v>
      </c>
      <c r="B30" s="26" t="s">
        <v>25</v>
      </c>
      <c r="C30" s="27" t="s">
        <v>42</v>
      </c>
      <c r="D30" s="28"/>
      <c r="E30" s="28"/>
      <c r="F30" s="28"/>
    </row>
    <row r="31" spans="1:6">
      <c r="A31" s="25">
        <v>11</v>
      </c>
      <c r="B31" s="26" t="s">
        <v>39</v>
      </c>
      <c r="C31" s="27" t="s">
        <v>43</v>
      </c>
      <c r="D31" s="28"/>
      <c r="E31" s="28"/>
      <c r="F31" s="28"/>
    </row>
    <row r="32" spans="1:6">
      <c r="A32" s="25">
        <v>0.8</v>
      </c>
      <c r="B32" s="26" t="s">
        <v>25</v>
      </c>
      <c r="C32" s="27" t="s">
        <v>41</v>
      </c>
      <c r="D32" s="28"/>
      <c r="E32" s="28"/>
      <c r="F32" s="28"/>
    </row>
    <row r="33" spans="1:6">
      <c r="A33" s="25">
        <v>1.5</v>
      </c>
      <c r="B33" s="26" t="s">
        <v>25</v>
      </c>
      <c r="C33" s="27" t="s">
        <v>42</v>
      </c>
      <c r="D33" s="28"/>
      <c r="E33" s="28"/>
      <c r="F33" s="28"/>
    </row>
    <row r="34" spans="1:6">
      <c r="A34" s="2" t="s">
        <v>44</v>
      </c>
    </row>
    <row r="36" spans="1:6">
      <c r="C36" s="29" t="s">
        <v>45</v>
      </c>
      <c r="D36" s="30" t="s">
        <v>46</v>
      </c>
      <c r="E36" s="30" t="s">
        <v>47</v>
      </c>
      <c r="F36" s="30" t="s">
        <v>48</v>
      </c>
    </row>
    <row r="37" spans="1:6">
      <c r="C37" s="27" t="s">
        <v>49</v>
      </c>
      <c r="D37" s="31">
        <v>4.48</v>
      </c>
      <c r="E37" s="32">
        <f>4.48+(Recipe!$A$29*232.8+Recipe!$A$30*272.6+Recipe!$A$32*232.8+Recipe!$A$33*272.6)/(Recipe!$A$28+Recipe!$A$31)</f>
        <v>58.1351724137931</v>
      </c>
      <c r="F37" s="33">
        <v>60</v>
      </c>
    </row>
    <row r="38" spans="1:6">
      <c r="C38" s="27" t="s">
        <v>50</v>
      </c>
      <c r="D38" s="31">
        <v>2.41</v>
      </c>
      <c r="E38" s="32">
        <f>2.41+(Recipe!$A$29*557.9+Recipe!$A$32*557.9)/(Recipe!$A$28+Recipe!$A$31)</f>
        <v>40.8858620689655</v>
      </c>
      <c r="F38" s="33">
        <v>40</v>
      </c>
    </row>
    <row r="39" spans="1:6">
      <c r="C39" s="27" t="s">
        <v>51</v>
      </c>
      <c r="D39" s="31">
        <v>8.71</v>
      </c>
      <c r="E39" s="32">
        <f>8.71+(Recipe!$A$30*482.3+Recipe!$A$33*482.3)/(Recipe!$A$28+Recipe!$A$31)</f>
        <v>75.2341379310345</v>
      </c>
      <c r="F39" s="33">
        <v>75</v>
      </c>
    </row>
    <row r="40" spans="1:6">
      <c r="C40" s="27" t="s">
        <v>52</v>
      </c>
      <c r="D40" s="31">
        <v>0.82</v>
      </c>
      <c r="E40" s="34">
        <v>0.82</v>
      </c>
      <c r="F40" s="33" t="s">
        <v>53</v>
      </c>
    </row>
    <row r="41" spans="1:6">
      <c r="C41" s="27" t="s">
        <v>54</v>
      </c>
      <c r="D41" s="31">
        <v>9.69</v>
      </c>
      <c r="E41" s="34">
        <v>9.69</v>
      </c>
      <c r="F41" s="33" t="s">
        <v>53</v>
      </c>
    </row>
    <row r="42" spans="1:6">
      <c r="C42" s="27" t="s">
        <v>55</v>
      </c>
      <c r="D42" s="33">
        <v>27.5</v>
      </c>
      <c r="E42" s="32">
        <v>27.5</v>
      </c>
      <c r="F42" s="33" t="s">
        <v>53</v>
      </c>
    </row>
    <row r="44" spans="1:6" customHeight="1" ht="116">
      <c r="A44" s="35" t="s">
        <v>56</v>
      </c>
    </row>
    <row r="46" spans="1:6">
      <c r="A46" s="36" t="s">
        <f>HYPERLINK("https://bruko.net/r/kopavogur-session-schwarzbier","Full recipe and method: bruko.net/r/kopavogur-session-schwarzbier")</f>
        <v>57</v>
      </c>
    </row>
    <row r="47" spans="1:6">
      <c r="A47" s="2" t="s">
        <v>58</v>
      </c>
    </row>
    <row r="48" spans="1:6">
      <c r="A48" s="2" t="s">
        <v>59</v>
      </c>
    </row>
  </sheetData>
  <mergeCells count="19">
    <mergeCell ref="A2:F2"/>
    <mergeCell ref="A3:F3"/>
    <mergeCell ref="D12:F12"/>
    <mergeCell ref="D13:F13"/>
    <mergeCell ref="D14:F14"/>
    <mergeCell ref="D15:F15"/>
    <mergeCell ref="D16:F16"/>
    <mergeCell ref="D19:F19"/>
    <mergeCell ref="D20:F20"/>
    <mergeCell ref="D23:F23"/>
    <mergeCell ref="D24:F24"/>
    <mergeCell ref="D25:F25"/>
    <mergeCell ref="D28:F28"/>
    <mergeCell ref="D29:F29"/>
    <mergeCell ref="D30:F30"/>
    <mergeCell ref="D31:F31"/>
    <mergeCell ref="D32:F32"/>
    <mergeCell ref="D33:F33"/>
    <mergeCell ref="A44:F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56"/>
  <sheetViews>
    <sheetView workbookViewId="0"/>
  </sheetViews>
  <sheetFormatPr baseColWidth="10" defaultRowHeight="16"/>
  <cols>
    <col min="1" max="1" width="36.6640625" customWidth="1"/>
    <col min="2" max="7" width="18.33203125" customWidth="1"/>
  </cols>
  <sheetData>
    <row r="1" spans="1:7" customHeight="1" ht="26">
      <c r="A1" s="1" t="s">
        <v>60</v>
      </c>
      <c r="B1" s="1" t="s">
        <v>61</v>
      </c>
      <c r="C1" s="1" t="s">
        <v>61</v>
      </c>
      <c r="D1" s="1" t="s">
        <v>61</v>
      </c>
      <c r="E1" s="1" t="s">
        <v>61</v>
      </c>
      <c r="F1" s="1" t="s">
        <v>61</v>
      </c>
      <c r="G1" s="1" t="s">
        <v>61</v>
      </c>
    </row>
    <row r="2" spans="1:7">
      <c r="A2" s="2" t="s">
        <v>62</v>
      </c>
    </row>
    <row r="3" spans="1:7">
      <c r="A3" s="3" t="s">
        <v>63</v>
      </c>
      <c r="B3" s="4">
        <v>20</v>
      </c>
    </row>
    <row r="4" spans="1:7">
      <c r="A4" s="3" t="s">
        <v>64</v>
      </c>
      <c r="B4" s="4">
        <v>23</v>
      </c>
    </row>
    <row r="5" spans="1:7">
      <c r="A5" s="3" t="s">
        <v>65</v>
      </c>
      <c r="B5" s="5">
        <v>0.7</v>
      </c>
    </row>
    <row r="6" spans="1:7">
      <c r="A6" s="3" t="s">
        <v>66</v>
      </c>
      <c r="B6" s="5">
        <v>0.74</v>
      </c>
    </row>
    <row r="7" spans="1:7">
      <c r="A7" s="3" t="s">
        <v>67</v>
      </c>
      <c r="B7" s="6">
        <f>SUM(Calculation!D15:D19)</f>
        <v>36.05875</v>
      </c>
    </row>
    <row r="8" spans="1:7">
      <c r="A8" s="3" t="s">
        <v>4</v>
      </c>
      <c r="B8" s="6">
        <f>1+Calculation!B7/1000</f>
        <v>1.03605875</v>
      </c>
    </row>
    <row r="9" spans="1:7">
      <c r="A9" s="3" t="s">
        <v>68</v>
      </c>
      <c r="B9" s="6">
        <f>Calculation!B7*(1-Calculation!B6)</f>
        <v>9.375275</v>
      </c>
    </row>
    <row r="10" spans="1:7">
      <c r="A10" s="3" t="s">
        <v>5</v>
      </c>
      <c r="B10" s="6">
        <f>1+Calculation!B9/1000</f>
        <v>1.009375275</v>
      </c>
    </row>
    <row r="11" spans="1:7">
      <c r="A11" s="3" t="s">
        <v>69</v>
      </c>
      <c r="B11" s="6">
        <f>(Calculation!B8-Calculation!B10)*131.25</f>
        <v>3.50220609375</v>
      </c>
    </row>
    <row r="12" spans="1:7">
      <c r="A12" s="3" t="s">
        <v>6</v>
      </c>
      <c r="B12" s="6">
        <f>SUM(Calculation!G22:G23)</f>
        <v>22.700527406023</v>
      </c>
    </row>
    <row r="14" spans="1:7">
      <c r="A14" s="7" t="s">
        <v>70</v>
      </c>
      <c r="B14" s="7" t="s">
        <v>13</v>
      </c>
      <c r="C14" s="7" t="s">
        <v>71</v>
      </c>
      <c r="D14" s="7" t="s">
        <v>67</v>
      </c>
    </row>
    <row r="15" spans="1:7">
      <c r="A15" t="s">
        <v>14</v>
      </c>
      <c r="B15" s="4">
        <f>Recipe!$A$12*1</f>
        <v>1.9</v>
      </c>
      <c r="C15" s="4">
        <v>309</v>
      </c>
      <c r="D15" s="6">
        <f>Calculation!B15*Calculation!C15*Calculation!B5/Calculation!B3</f>
        <v>20.5485</v>
      </c>
    </row>
    <row r="16" spans="1:7">
      <c r="A16" t="s">
        <v>16</v>
      </c>
      <c r="B16" s="4">
        <f>Recipe!$A$13*1</f>
        <v>1</v>
      </c>
      <c r="C16" s="4">
        <v>300</v>
      </c>
      <c r="D16" s="6">
        <f>Calculation!B16*Calculation!C16*Calculation!B5/Calculation!B3</f>
        <v>10.5</v>
      </c>
    </row>
    <row r="17" spans="1:7">
      <c r="A17" t="s">
        <v>18</v>
      </c>
      <c r="B17" s="4">
        <f>Recipe!$A$14*1</f>
        <v>0.2</v>
      </c>
      <c r="C17" s="4">
        <v>284</v>
      </c>
      <c r="D17" s="6">
        <f>Calculation!B17*Calculation!C17*Calculation!B5/Calculation!B3</f>
        <v>1.988</v>
      </c>
    </row>
    <row r="18" spans="1:7">
      <c r="A18" t="s">
        <v>20</v>
      </c>
      <c r="B18" s="4">
        <f>Recipe!$A$15*1</f>
        <v>0.2</v>
      </c>
      <c r="C18" s="4">
        <v>275</v>
      </c>
      <c r="D18" s="6">
        <f>Calculation!B18*Calculation!C18*Calculation!B5/Calculation!B3</f>
        <v>1.925</v>
      </c>
    </row>
    <row r="19" spans="1:7">
      <c r="A19" t="s">
        <v>22</v>
      </c>
      <c r="B19" s="4">
        <f>Recipe!$A$16*1</f>
        <v>0.15</v>
      </c>
      <c r="C19" s="4">
        <v>209</v>
      </c>
      <c r="D19" s="6">
        <f>Calculation!B19*Calculation!C19*Calculation!B5/Calculation!B3</f>
        <v>1.09725</v>
      </c>
    </row>
    <row r="21" spans="1:7">
      <c r="A21" s="7" t="s">
        <v>72</v>
      </c>
      <c r="B21" s="7" t="s">
        <v>25</v>
      </c>
      <c r="C21" s="7" t="s">
        <v>73</v>
      </c>
      <c r="D21" s="7" t="s">
        <v>74</v>
      </c>
      <c r="E21" s="7" t="s">
        <v>75</v>
      </c>
      <c r="F21" s="7" t="s">
        <v>76</v>
      </c>
      <c r="G21" s="7" t="s">
        <v>6</v>
      </c>
    </row>
    <row r="22" spans="1:7">
      <c r="A22" t="s">
        <v>77</v>
      </c>
      <c r="B22" s="4">
        <f>Recipe!$A$19*1</f>
        <v>40</v>
      </c>
      <c r="C22" s="4">
        <v>4</v>
      </c>
      <c r="D22" s="4">
        <v>60</v>
      </c>
      <c r="E22" s="4">
        <v>1</v>
      </c>
      <c r="F22" s="6">
        <f>1.65*0.000125^(Calculation!B8-1)*(1-EXP(-0.04*Calculation!D22))/4.15*Calculation!E22</f>
        <v>0.261453173535553</v>
      </c>
      <c r="G22" s="6">
        <f>Calculation!F22*Calculation!C22/100*Calculation!B22*1000/Calculation!B4</f>
        <v>18.1880468546472</v>
      </c>
    </row>
    <row r="23" spans="1:7">
      <c r="A23" t="s">
        <v>78</v>
      </c>
      <c r="B23" s="4">
        <f>Recipe!$A$20*1</f>
        <v>20</v>
      </c>
      <c r="C23" s="4">
        <v>4</v>
      </c>
      <c r="D23" s="4">
        <v>15</v>
      </c>
      <c r="E23" s="4">
        <v>1</v>
      </c>
      <c r="F23" s="6">
        <f>1.65*0.000125^(Calculation!B8-1)*(1-EXP(-0.04*Calculation!D23))/4.15*Calculation!E23</f>
        <v>0.129733815852055</v>
      </c>
      <c r="G23" s="6">
        <f>Calculation!F23*Calculation!C23/100*Calculation!B23*1000/Calculation!B4</f>
        <v>4.51248055137583</v>
      </c>
    </row>
    <row r="25" spans="1:7" customHeight="1" ht="26">
      <c r="A25" s="1" t="s">
        <v>79</v>
      </c>
      <c r="B25" s="1" t="s">
        <v>61</v>
      </c>
      <c r="C25" s="1" t="s">
        <v>61</v>
      </c>
      <c r="D25" s="1" t="s">
        <v>61</v>
      </c>
      <c r="E25" s="1" t="s">
        <v>61</v>
      </c>
      <c r="F25" s="1" t="s">
        <v>61</v>
      </c>
      <c r="G25" s="1" t="s">
        <v>61</v>
      </c>
    </row>
    <row r="26" spans="1:7">
      <c r="A26" s="2" t="s">
        <v>80</v>
      </c>
    </row>
    <row r="27" spans="1:7">
      <c r="A27" s="3" t="s">
        <v>81</v>
      </c>
      <c r="B27" s="8">
        <v>5.402094734921187</v>
      </c>
    </row>
    <row r="28" spans="1:7">
      <c r="A28" s="3" t="s">
        <v>82</v>
      </c>
      <c r="B28" s="4">
        <f>Recipe!$A$28</f>
        <v>18</v>
      </c>
    </row>
    <row r="29" spans="1:7">
      <c r="A29" s="3" t="s">
        <v>83</v>
      </c>
      <c r="B29" s="4">
        <v>4.48</v>
      </c>
    </row>
    <row r="30" spans="1:7">
      <c r="A30" s="3" t="s">
        <v>84</v>
      </c>
      <c r="B30" s="4">
        <v>0.82</v>
      </c>
    </row>
    <row r="31" spans="1:7">
      <c r="A31" s="3" t="s">
        <v>85</v>
      </c>
      <c r="B31" s="4">
        <v>27.5</v>
      </c>
    </row>
    <row r="32" spans="1:7">
      <c r="A32" s="3" t="s">
        <v>86</v>
      </c>
      <c r="B32" s="4">
        <f>Recipe!$A$25*1</f>
        <v>1.7</v>
      </c>
    </row>
    <row r="33" spans="1:7">
      <c r="A33" s="3" t="s">
        <v>87</v>
      </c>
      <c r="B33" s="4">
        <v>11.81</v>
      </c>
    </row>
    <row r="34" spans="1:7">
      <c r="A34" s="3" t="s">
        <v>88</v>
      </c>
      <c r="B34" s="4">
        <v>0</v>
      </c>
    </row>
    <row r="35" spans="1:7">
      <c r="A35" s="3" t="s">
        <v>89</v>
      </c>
      <c r="B35" s="4">
        <v>320</v>
      </c>
    </row>
    <row r="36" spans="1:7">
      <c r="A36" s="3" t="s">
        <v>90</v>
      </c>
      <c r="B36" s="6">
        <f>Calculation!B29*Calculation!B28+SUMPRODUCT(Calculation!B55:B56,Calculation!C55:C56)</f>
        <v>1041.5</v>
      </c>
    </row>
    <row r="37" spans="1:7">
      <c r="A37" s="3" t="s">
        <v>91</v>
      </c>
      <c r="B37" s="6">
        <f>Calculation!B30*Calculation!B28+SUMPRODUCT(Calculation!B55:B56,Calculation!D55:D56)</f>
        <v>14.76</v>
      </c>
    </row>
    <row r="38" spans="1:7">
      <c r="A38" s="3" t="s">
        <v>92</v>
      </c>
      <c r="B38" s="6">
        <f>Calculation!B31*Calculation!B28+SUMPRODUCT(Calculation!B55:B56,Calculation!E55:E56)</f>
        <v>495</v>
      </c>
    </row>
    <row r="39" spans="1:7">
      <c r="A39" s="3" t="s">
        <v>93</v>
      </c>
      <c r="B39" s="6">
        <f>SUM(Calculation!E48:E52)</f>
        <v>170.587075471698</v>
      </c>
    </row>
    <row r="40" spans="1:7">
      <c r="A40" s="3" t="s">
        <v>94</v>
      </c>
      <c r="B40" s="6">
        <f>SUM(Calculation!F48:F52)/Calculation!B39</f>
        <v>5.56154113250705</v>
      </c>
    </row>
    <row r="41" spans="1:7">
      <c r="A41" s="3" t="s">
        <v>95</v>
      </c>
      <c r="B41" s="6">
        <f>Calculation!B36/20.04/3.5+Calculation!B37/12.15/7</f>
        <v>15.022418654754</v>
      </c>
    </row>
    <row r="42" spans="1:7">
      <c r="A42" s="3" t="s">
        <v>96</v>
      </c>
      <c r="B42" s="6">
        <f>Calculation!B32*Calculation!B33/(1+10^(3.86-Calculation!B27))</f>
        <v>19.5168366479673</v>
      </c>
    </row>
    <row r="43" spans="1:7">
      <c r="A43" s="3" t="s">
        <v>97</v>
      </c>
      <c r="B43" s="6">
        <f>Calculation!B34*Calculation!B35</f>
        <v>0</v>
      </c>
    </row>
    <row r="44" spans="1:7">
      <c r="A44" s="3" t="s">
        <v>98</v>
      </c>
      <c r="B44" s="6">
        <f>Calculation!B38/61.02*(1-1/(1+10^(6.38-Calculation!B27)))</f>
        <v>7.33980631044052</v>
      </c>
    </row>
    <row r="45" spans="1:7">
      <c r="A45" s="3" t="s">
        <v>99</v>
      </c>
      <c r="B45" s="6">
        <f>Calculation!B39*(Calculation!B40-Calculation!B27)-(Calculation!B41+Calculation!B42+Calculation!B43-Calculation!B44)</f>
        <v>0.0000456663891732489</v>
      </c>
    </row>
    <row r="47" spans="1:7">
      <c r="A47" s="7" t="s">
        <v>100</v>
      </c>
      <c r="B47" s="7" t="s">
        <v>13</v>
      </c>
      <c r="C47" s="7" t="s">
        <v>101</v>
      </c>
      <c r="D47" s="7" t="s">
        <v>102</v>
      </c>
      <c r="E47" s="7" t="s">
        <v>103</v>
      </c>
      <c r="F47" s="7" t="s">
        <v>104</v>
      </c>
    </row>
    <row r="48" spans="1:7">
      <c r="A48" t="s">
        <v>14</v>
      </c>
      <c r="B48" s="4">
        <f>Calculation!B15</f>
        <v>1.9</v>
      </c>
      <c r="C48" s="4">
        <v>5.76</v>
      </c>
      <c r="D48" s="4">
        <v>45.5</v>
      </c>
      <c r="E48" s="6">
        <f>Calculation!B48*Calculation!D48</f>
        <v>86.45</v>
      </c>
      <c r="F48" s="6">
        <f>Calculation!E48*Calculation!C48</f>
        <v>497.952</v>
      </c>
    </row>
    <row r="49" spans="1:7">
      <c r="A49" t="s">
        <v>16</v>
      </c>
      <c r="B49" s="4">
        <f>Calculation!B16</f>
        <v>1</v>
      </c>
      <c r="C49" s="4">
        <v>5.57</v>
      </c>
      <c r="D49" s="4">
        <v>53.7</v>
      </c>
      <c r="E49" s="6">
        <f>Calculation!B49*Calculation!D49</f>
        <v>53.7</v>
      </c>
      <c r="F49" s="6">
        <f>Calculation!E49*Calculation!C49</f>
        <v>299.109</v>
      </c>
    </row>
    <row r="50" spans="1:7">
      <c r="A50" t="s">
        <v>18</v>
      </c>
      <c r="B50" s="4">
        <f>Calculation!B17</f>
        <v>0.2</v>
      </c>
      <c r="C50" s="4">
        <v>4.867056603773585</v>
      </c>
      <c r="D50" s="4">
        <v>65.86037735849057</v>
      </c>
      <c r="E50" s="6">
        <f>Calculation!B50*Calculation!D50</f>
        <v>13.1720754716981</v>
      </c>
      <c r="F50" s="6">
        <f>Calculation!E50*Calculation!C50</f>
        <v>64.1092369099323</v>
      </c>
    </row>
    <row r="51" spans="1:7">
      <c r="A51" t="s">
        <v>20</v>
      </c>
      <c r="B51" s="4">
        <f>Calculation!B18</f>
        <v>0.2</v>
      </c>
      <c r="C51" s="4">
        <v>5.71</v>
      </c>
      <c r="D51" s="4">
        <v>34.8</v>
      </c>
      <c r="E51" s="6">
        <f>Calculation!B51*Calculation!D51</f>
        <v>6.96</v>
      </c>
      <c r="F51" s="6">
        <f>Calculation!E51*Calculation!C51</f>
        <v>39.7416</v>
      </c>
    </row>
    <row r="52" spans="1:7">
      <c r="A52" t="s">
        <v>22</v>
      </c>
      <c r="B52" s="4">
        <f>Calculation!B19</f>
        <v>0.15</v>
      </c>
      <c r="C52" s="4">
        <v>4.64</v>
      </c>
      <c r="D52" s="4">
        <v>68.7</v>
      </c>
      <c r="E52" s="6">
        <f>Calculation!B52*Calculation!D52</f>
        <v>10.305</v>
      </c>
      <c r="F52" s="6">
        <f>Calculation!E52*Calculation!C52</f>
        <v>47.8152</v>
      </c>
    </row>
    <row r="54" spans="1:7">
      <c r="A54" s="7" t="s">
        <v>105</v>
      </c>
      <c r="B54" s="7" t="s">
        <v>25</v>
      </c>
      <c r="C54" s="7" t="s">
        <v>106</v>
      </c>
      <c r="D54" s="7" t="s">
        <v>107</v>
      </c>
      <c r="E54" s="7" t="s">
        <v>108</v>
      </c>
    </row>
    <row r="55" spans="1:7">
      <c r="A55" t="s">
        <v>109</v>
      </c>
      <c r="B55" s="4">
        <f>Recipe!$A$29*1</f>
        <v>1.2</v>
      </c>
      <c r="C55" s="4">
        <v>232.8</v>
      </c>
      <c r="D55" s="4">
        <v>0</v>
      </c>
      <c r="E55" s="4">
        <v>0</v>
      </c>
    </row>
    <row r="56" spans="1:7">
      <c r="A56" t="s">
        <v>110</v>
      </c>
      <c r="B56" s="4">
        <f>Recipe!$A$30*1</f>
        <v>2.5</v>
      </c>
      <c r="C56" s="4">
        <v>272.6</v>
      </c>
      <c r="D56" s="4">
        <v>0</v>
      </c>
      <c r="E56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Recipe</vt:lpstr>
      <vt:lpstr>Calculation</vt:lpstr>
    </vt:vector>
  </TitlesOfParts>
  <Company/>
  <LinksUpToDate>false</LinksUpToDate>
  <SharedDoc>false</SharedDoc>
  <HyperlinksChanged>false</HyperlinksChanged>
  <AppVersion>16.0.300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GRID user</dc:creator>
  <cp:lastModifiedBy>GRID user</cp:lastModifiedBy>
  <dcterms:created xsi:type="dcterms:W3CDTF">2020-10-28T14:48:21Z</dcterms:created>
  <dcterms:modified xsi:type="dcterms:W3CDTF">2023-05-26T13:01:54Z</dcterms:modified>
</cp:coreProperties>
</file>